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S:\1-Tereza\"/>
    </mc:Choice>
  </mc:AlternateContent>
  <xr:revisionPtr revIDLastSave="0" documentId="13_ncr:1_{178361B3-1005-40CA-A7D5-C482C534FACA}" xr6:coauthVersionLast="36" xr6:coauthVersionMax="36" xr10:uidLastSave="{00000000-0000-0000-0000-000000000000}"/>
  <workbookProtection lockStructure="1"/>
  <bookViews>
    <workbookView xWindow="0" yWindow="0" windowWidth="28800" windowHeight="12375" tabRatio="604" xr2:uid="{00000000-000D-0000-FFFF-FFFF00000000}"/>
  </bookViews>
  <sheets>
    <sheet name="Výpočty biochemie" sheetId="1" r:id="rId1"/>
    <sheet name="Transsudát-exsudát" sheetId="2" r:id="rId2"/>
  </sheets>
  <calcPr calcId="191029"/>
</workbook>
</file>

<file path=xl/calcChain.xml><?xml version="1.0" encoding="utf-8"?>
<calcChain xmlns="http://schemas.openxmlformats.org/spreadsheetml/2006/main">
  <c r="E101" i="1" l="1"/>
  <c r="D101" i="1"/>
  <c r="E97" i="1"/>
  <c r="D97" i="1"/>
  <c r="L88" i="1"/>
  <c r="D84" i="1"/>
  <c r="K77" i="1"/>
  <c r="E77" i="1"/>
  <c r="K59" i="1"/>
  <c r="C36" i="1"/>
  <c r="E22" i="1" l="1"/>
  <c r="F22" i="1"/>
  <c r="C29" i="1"/>
  <c r="F90" i="1"/>
  <c r="K3" i="2"/>
  <c r="J3" i="2"/>
  <c r="I3" i="2"/>
  <c r="H3" i="2"/>
  <c r="D65" i="1"/>
  <c r="D59" i="1"/>
  <c r="L53" i="1"/>
  <c r="L48" i="1"/>
  <c r="F42" i="1"/>
  <c r="E53" i="1" l="1"/>
  <c r="E48" i="1"/>
  <c r="I71" i="1"/>
  <c r="D71" i="1"/>
  <c r="F11" i="1"/>
  <c r="I11" i="1" s="1"/>
  <c r="J11" i="1"/>
  <c r="E29" i="1"/>
  <c r="G29" i="1" s="1"/>
</calcChain>
</file>

<file path=xl/sharedStrings.xml><?xml version="1.0" encoding="utf-8"?>
<sst xmlns="http://schemas.openxmlformats.org/spreadsheetml/2006/main" count="199" uniqueCount="177">
  <si>
    <t>Kreatinin v séru/plazmě (μmol/l)</t>
  </si>
  <si>
    <t>Kreatinin v moči (mmol/l)</t>
  </si>
  <si>
    <t>Objem moči (ml)</t>
  </si>
  <si>
    <t>Doba sběru (h)</t>
  </si>
  <si>
    <t>GFNK – 131 
(ml/s)</t>
  </si>
  <si>
    <t>Výška (cm)</t>
  </si>
  <si>
    <t>Váha (kg)</t>
  </si>
  <si>
    <t>GFKO – 132 (ml/s)</t>
  </si>
  <si>
    <t>ResH – 133 (%)</t>
  </si>
  <si>
    <t>Webový kalkulátor</t>
  </si>
  <si>
    <t>Datum narození</t>
  </si>
  <si>
    <t>Věk</t>
  </si>
  <si>
    <t>Pohlaví (zadej „m“ nebo „z“)</t>
  </si>
  <si>
    <t>Faktor</t>
  </si>
  <si>
    <t>Cystatin C (mg/l)</t>
  </si>
  <si>
    <t>Kreatinin v dialyzátu (umol/l)</t>
  </si>
  <si>
    <t>Objem dialyzátu (ml)</t>
  </si>
  <si>
    <t>DFil – 266 
(ml/s)</t>
  </si>
  <si>
    <t>PLAZMA</t>
  </si>
  <si>
    <t>PUNKTÁT</t>
  </si>
  <si>
    <t>Výpočty</t>
  </si>
  <si>
    <t>Pl-TP</t>
  </si>
  <si>
    <t>Pl-ALB</t>
  </si>
  <si>
    <t>Pl-LD</t>
  </si>
  <si>
    <t>Horní ref.mez Pl-LD</t>
  </si>
  <si>
    <t>Pu-TP</t>
  </si>
  <si>
    <t>Pu-ALB</t>
  </si>
  <si>
    <t>Pu-LD</t>
  </si>
  <si>
    <t>2/3 H.Ref.meze</t>
  </si>
  <si>
    <t>Pu-TP/Pl-TP</t>
  </si>
  <si>
    <t>Pu-LD/Pl-LD</t>
  </si>
  <si>
    <t>alb. gradient</t>
  </si>
  <si>
    <t>Doba sběru(h)</t>
  </si>
  <si>
    <t>Odpad
(mmol/24h)</t>
  </si>
  <si>
    <t>Koncentrace transferinu v plazmě/séru (g/l)</t>
  </si>
  <si>
    <t>Koncentrace železa v plazmě/séru  (µmo/l)</t>
  </si>
  <si>
    <t>Saturace transferinu (%)</t>
  </si>
  <si>
    <t>Celková vazebná kapacita pro železo v plazmě/séru</t>
  </si>
  <si>
    <t>Celková vazebná kapacita pro Fe (µmol/l)</t>
  </si>
  <si>
    <t>Výpočet LDL cholesterolu v plazmě/séru</t>
  </si>
  <si>
    <t>Triacylglyceroly (mmol/l)</t>
  </si>
  <si>
    <t>LDL cholesterol (mmol/l)</t>
  </si>
  <si>
    <t>HDL cholesterol (mmol/l)</t>
  </si>
  <si>
    <t>Celkový cholesterol (mmol/l)</t>
  </si>
  <si>
    <t>! výpočet nelze použít, převyšuje-li koncentrace triacylglycerolů 4,5 mmol/l</t>
  </si>
  <si>
    <t>Odpad
(g/24h)</t>
  </si>
  <si>
    <t>Koncentrace bílkoviny v moči (g/l)</t>
  </si>
  <si>
    <t>Doba sběru (min)</t>
  </si>
  <si>
    <t>Koncentrace albuminu v moči (mg/l)</t>
  </si>
  <si>
    <t>Odpad
(µg/min)</t>
  </si>
  <si>
    <t>Saturace transferinu železem</t>
  </si>
  <si>
    <t>Clearance cystatinu C</t>
  </si>
  <si>
    <t>Koncentrace analytu v moči (mmol/l)</t>
  </si>
  <si>
    <t>Odpad
(mg/24h)</t>
  </si>
  <si>
    <t>Filtrace při hemodialýze</t>
  </si>
  <si>
    <t>Clearance kreatininu přepočtená na povrch těla</t>
  </si>
  <si>
    <t>Clearance kreatininu</t>
  </si>
  <si>
    <t>Odpad analytu v moči obecně (ionty, urea, kreatinin, kyselina močová)</t>
  </si>
  <si>
    <t>Výpočet: GFNK (ml/s) = U-Kreatinin(mmol/l) x V moči(ml) / doba sběru (h) x S-Kreatinin (µmol/l) x 3,6</t>
  </si>
  <si>
    <t>Výpočet: ReSH (%) = 100 - (S-Kreatinin (µmol/l) / U-Kreatinin(mmol/l) x 10)</t>
  </si>
  <si>
    <r>
      <t>Tubulární resorbce H</t>
    </r>
    <r>
      <rPr>
        <b/>
        <vertAlign val="subscript"/>
        <sz val="14"/>
        <color theme="3" tint="-0.249977111117893"/>
        <rFont val="Arial"/>
        <family val="2"/>
        <charset val="238"/>
      </rPr>
      <t>2</t>
    </r>
    <r>
      <rPr>
        <b/>
        <sz val="14"/>
        <color theme="3" tint="-0.249977111117893"/>
        <rFont val="Arial"/>
        <family val="2"/>
        <charset val="238"/>
      </rPr>
      <t>O</t>
    </r>
  </si>
  <si>
    <r>
      <t>Výpočet: GFKO (ml/s/1,73m</t>
    </r>
    <r>
      <rPr>
        <sz val="8.4"/>
        <color theme="3" tint="-0.249977111117893"/>
        <rFont val="Calibri"/>
        <family val="2"/>
        <charset val="238"/>
      </rPr>
      <t>²</t>
    </r>
    <r>
      <rPr>
        <sz val="12"/>
        <color theme="3" tint="-0.249977111117893"/>
        <rFont val="Arial"/>
        <family val="2"/>
        <charset val="238"/>
      </rPr>
      <t>) = GFNK x 1,73 / (výška (cm))</t>
    </r>
    <r>
      <rPr>
        <sz val="12"/>
        <color theme="3" tint="-0.249977111117893"/>
        <rFont val="Calibri"/>
        <family val="2"/>
        <charset val="238"/>
      </rPr>
      <t>⁰ʹ⁷²⁵</t>
    </r>
    <r>
      <rPr>
        <sz val="12"/>
        <color theme="3" tint="-0.249977111117893"/>
        <rFont val="Arial"/>
        <family val="2"/>
        <charset val="238"/>
      </rPr>
      <t xml:space="preserve"> × (váha (kg))⁰ʹ</t>
    </r>
    <r>
      <rPr>
        <sz val="12"/>
        <color theme="3" tint="-0.249977111117893"/>
        <rFont val="Calibri"/>
        <family val="2"/>
        <charset val="238"/>
      </rPr>
      <t>⁴</t>
    </r>
    <r>
      <rPr>
        <sz val="12"/>
        <color theme="3" tint="-0.249977111117893"/>
        <rFont val="Arial"/>
        <family val="2"/>
        <charset val="238"/>
      </rPr>
      <t>²⁵ × 0,007184</t>
    </r>
  </si>
  <si>
    <r>
      <t>Vzorec: MDR1 (ml/s/1,73 m²) = 2,92 × (0,0113 × S-Krea (µmol/l))</t>
    </r>
    <r>
      <rPr>
        <sz val="12"/>
        <color theme="3" tint="-0.249977111117893"/>
        <rFont val="Calibri"/>
        <family val="2"/>
        <charset val="238"/>
      </rPr>
      <t>¯¹’¹⁵⁴</t>
    </r>
    <r>
      <rPr>
        <sz val="12"/>
        <color theme="3" tint="-0.249977111117893"/>
        <rFont val="Arial"/>
        <family val="2"/>
        <charset val="238"/>
      </rPr>
      <t xml:space="preserve"> × věk¯⁰’²⁰³ × f (0,742 pro ženy, 1 pro muže)</t>
    </r>
  </si>
  <si>
    <t>Doba trvání dialýzy (h)</t>
  </si>
  <si>
    <t>Výpočet: Dfil(ml/s) = (Kreatinin v dialyzátu (µmol/l)x V dialyzátu(ml)) / (S-Kreatinin (µmo/l)  x doba dialýzy(h) x  3600)</t>
  </si>
  <si>
    <t>Výpočet: opdad analytu (mmol/24h) = U-analyt(mmol/l) × V moči (l) × 24 / doba sběru (h)</t>
  </si>
  <si>
    <t>Výpočet:  U-TP (g/24h) = U-bílkovina(g/l) × V moči (l) × 24 / doba sběru (h)</t>
  </si>
  <si>
    <t>Výpočet: sTRF (%) = 3,98 × S-železo (µmol/l) / S-Transferin (g/l)</t>
  </si>
  <si>
    <t>Výpočet: TIBC (µmol/l) =  S-Transferin (g/l) x 25,2</t>
  </si>
  <si>
    <t>Výpočet: LDL (mmol/l) = Chol (mmol/l) – HDL (mmol/l) – (TAG (mmol/l) / 2,2)</t>
  </si>
  <si>
    <t>Analyty v ranní moči</t>
  </si>
  <si>
    <t>Odpady analytů ve sbírané moči</t>
  </si>
  <si>
    <t>Výpočet: albk (g/mol) = U-Albumin (mg/l) / U-Kreatinin (mmol/l)</t>
  </si>
  <si>
    <t>v ranní moči se vydává pouze odpad albuminu vztažený na odpad kreatininu</t>
  </si>
  <si>
    <t>Kreatinin v ranní moči (mmol/l)</t>
  </si>
  <si>
    <t>Bílkovina v ranní moči (g/l)</t>
  </si>
  <si>
    <t>Bílkovina/
Kreatinin</t>
  </si>
  <si>
    <t>Albumin/
Kreatinin</t>
  </si>
  <si>
    <r>
      <t>Výpočet: UB2K (mg/mol) = (U-</t>
    </r>
    <r>
      <rPr>
        <sz val="12"/>
        <rFont val="Calibri"/>
        <family val="2"/>
        <charset val="238"/>
      </rPr>
      <t>ß</t>
    </r>
    <r>
      <rPr>
        <sz val="12"/>
        <rFont val="Arial"/>
        <family val="2"/>
        <charset val="238"/>
      </rPr>
      <t>2mikroglobulin (mg/l) x 1000) / U-Kreatinin (mmol/l)</t>
    </r>
  </si>
  <si>
    <t xml:space="preserve"> ß2 mikroglobulin v ranní moči (mg/l)</t>
  </si>
  <si>
    <t>ß2 MG/
Kreatinin</t>
  </si>
  <si>
    <r>
      <t>Rozlišení typu punktátu 300 – transsudát × exsudát</t>
    </r>
    <r>
      <rPr>
        <sz val="14"/>
        <rFont val="Arial"/>
        <family val="2"/>
        <charset val="238"/>
      </rPr>
      <t>:</t>
    </r>
  </si>
  <si>
    <t>transsudát</t>
  </si>
  <si>
    <t>exsudát</t>
  </si>
  <si>
    <t>Pu celk.bílkovina (288) / P celk.bílkovina (1016)</t>
  </si>
  <si>
    <t>≤ 0,5</t>
  </si>
  <si>
    <t>&gt; 0,5</t>
  </si>
  <si>
    <t>Pu LDH (292) / P LDH (1026)</t>
  </si>
  <si>
    <t>≤ 0,6</t>
  </si>
  <si>
    <t>&gt; 0,6</t>
  </si>
  <si>
    <t>Pu LDH 2/3 HRM v séru (292) [µkat/l]</t>
  </si>
  <si>
    <t>&gt; 12</t>
  </si>
  <si>
    <t>≤ 12</t>
  </si>
  <si>
    <t>Interpretace:</t>
  </si>
  <si>
    <r>
      <t xml:space="preserve">- vše pro transsudát = </t>
    </r>
    <r>
      <rPr>
        <b/>
        <sz val="12"/>
        <color rgb="FF000000"/>
        <rFont val="Arial"/>
        <family val="2"/>
        <charset val="238"/>
      </rPr>
      <t>transsudát</t>
    </r>
  </si>
  <si>
    <r>
      <t xml:space="preserve">- jedno či více pro exsudát+ potvrzeno nízkým albuminovým gradientem = </t>
    </r>
    <r>
      <rPr>
        <b/>
        <sz val="12"/>
        <color rgb="FF000000"/>
        <rFont val="Arial"/>
        <family val="2"/>
        <charset val="238"/>
      </rPr>
      <t>exsudát</t>
    </r>
  </si>
  <si>
    <r>
      <t xml:space="preserve">- jedno či více pro exsudát + vysoký albuminový gradient = </t>
    </r>
    <r>
      <rPr>
        <b/>
        <sz val="12"/>
        <color rgb="FF000000"/>
        <rFont val="Arial"/>
        <family val="2"/>
        <charset val="238"/>
      </rPr>
      <t>nelze vyhodnotit</t>
    </r>
  </si>
  <si>
    <t>Albuminový gradient (295)
       P albumin(1017) – Pu albumin(289) [g/l]</t>
  </si>
  <si>
    <t>Kritérium</t>
  </si>
  <si>
    <t>≤ 2,5</t>
  </si>
  <si>
    <t>&gt; 2,5</t>
  </si>
  <si>
    <t>Glukóza (mmol/l)</t>
  </si>
  <si>
    <t>Urea (mmol/l)</t>
  </si>
  <si>
    <t>Natrium (mmol/l)</t>
  </si>
  <si>
    <t>Výpočet Osmolálního okna (osmolal gap) v plazmě/séru</t>
  </si>
  <si>
    <t>Výpočet: Osg (mmol/kg) = Osmolalita (mmol/kg) – (2 x Na (mmol/l) + Glukóza (mmol/l) + Urea (mmol/l))</t>
  </si>
  <si>
    <t>Osmolalita (mmol/kg)</t>
  </si>
  <si>
    <t>Osmolální okno (mmol/kg)</t>
  </si>
  <si>
    <t>V případě záporného osmolálního okna je výsledek vydán formou textové náhrady "záporná hodnota"</t>
  </si>
  <si>
    <t>Pohlaví</t>
  </si>
  <si>
    <t>s-kreatinin</t>
  </si>
  <si>
    <t>Ženy</t>
  </si>
  <si>
    <t>≤62</t>
  </si>
  <si>
    <t xml:space="preserve">&gt;62 </t>
  </si>
  <si>
    <t>Muži</t>
  </si>
  <si>
    <t>≤80</t>
  </si>
  <si>
    <t>&gt;80</t>
  </si>
  <si>
    <t>Pohlaví M/Z</t>
  </si>
  <si>
    <t>s-Kreatinin (µmol/l)</t>
  </si>
  <si>
    <t>eGFR (ml/s/1,73m2)</t>
  </si>
  <si>
    <t>Odhad glomerulární filtrace CKD - EPI (Levey 2009)</t>
  </si>
  <si>
    <r>
      <t>Výpočet (ml/s/1,73m</t>
    </r>
    <r>
      <rPr>
        <vertAlign val="superscript"/>
        <sz val="11"/>
        <color theme="3" tint="-0.249977111117893"/>
        <rFont val="Calibri"/>
        <family val="2"/>
        <charset val="238"/>
        <scheme val="minor"/>
      </rPr>
      <t>2</t>
    </r>
    <r>
      <rPr>
        <sz val="10"/>
        <color theme="3" tint="-0.249977111117893"/>
        <rFont val="Arial"/>
        <family val="2"/>
        <charset val="238"/>
      </rPr>
      <t>)</t>
    </r>
  </si>
  <si>
    <t>eGFR
(ml/s/1,73m2)</t>
  </si>
  <si>
    <t>eGFR (ml/s)</t>
  </si>
  <si>
    <t>Odhad glomerulární filtrace z MDRD (Levey 2007)</t>
  </si>
  <si>
    <r>
      <t>GFR = 144 × (Scr/62)</t>
    </r>
    <r>
      <rPr>
        <vertAlign val="superscript"/>
        <sz val="9.3000000000000007"/>
        <color theme="3" tint="-0.249977111117893"/>
        <rFont val="Arial"/>
        <family val="2"/>
        <charset val="238"/>
      </rPr>
      <t>-0.329</t>
    </r>
    <r>
      <rPr>
        <sz val="11"/>
        <color theme="3" tint="-0.249977111117893"/>
        <rFont val="Arial"/>
        <family val="2"/>
        <charset val="238"/>
      </rPr>
      <t xml:space="preserve"> × (0.993)</t>
    </r>
    <r>
      <rPr>
        <vertAlign val="superscript"/>
        <sz val="9.3000000000000007"/>
        <color theme="3" tint="-0.249977111117893"/>
        <rFont val="Arial"/>
        <family val="2"/>
        <charset val="238"/>
      </rPr>
      <t xml:space="preserve">Věk </t>
    </r>
    <r>
      <rPr>
        <sz val="9.3000000000000007"/>
        <color theme="3" tint="-0.249977111117893"/>
        <rFont val="Arial"/>
        <family val="2"/>
        <charset val="238"/>
      </rPr>
      <t>×</t>
    </r>
    <r>
      <rPr>
        <vertAlign val="superscript"/>
        <sz val="9.3000000000000007"/>
        <color theme="3" tint="-0.249977111117893"/>
        <rFont val="Arial"/>
        <family val="2"/>
        <charset val="238"/>
      </rPr>
      <t xml:space="preserve"> </t>
    </r>
    <r>
      <rPr>
        <sz val="9.3000000000000007"/>
        <color theme="3" tint="-0.249977111117893"/>
        <rFont val="Arial"/>
        <family val="2"/>
        <charset val="238"/>
      </rPr>
      <t>0,0167</t>
    </r>
  </si>
  <si>
    <r>
      <t>GFR = 144 × (Scr/62)</t>
    </r>
    <r>
      <rPr>
        <vertAlign val="superscript"/>
        <sz val="9.3000000000000007"/>
        <color theme="3" tint="-0.249977111117893"/>
        <rFont val="Arial"/>
        <family val="2"/>
        <charset val="238"/>
      </rPr>
      <t>-1.209</t>
    </r>
    <r>
      <rPr>
        <sz val="11"/>
        <color theme="3" tint="-0.249977111117893"/>
        <rFont val="Arial"/>
        <family val="2"/>
        <charset val="238"/>
      </rPr>
      <t xml:space="preserve"> × (0.993)</t>
    </r>
    <r>
      <rPr>
        <vertAlign val="superscript"/>
        <sz val="9.3000000000000007"/>
        <color theme="3" tint="-0.249977111117893"/>
        <rFont val="Arial"/>
        <family val="2"/>
        <charset val="238"/>
      </rPr>
      <t xml:space="preserve">Věk </t>
    </r>
    <r>
      <rPr>
        <sz val="9.3000000000000007"/>
        <color theme="3" tint="-0.249977111117893"/>
        <rFont val="Arial"/>
        <family val="2"/>
        <charset val="238"/>
      </rPr>
      <t xml:space="preserve"> × 0,0167</t>
    </r>
  </si>
  <si>
    <r>
      <t>GFR = 141 × (Scr/80)</t>
    </r>
    <r>
      <rPr>
        <vertAlign val="superscript"/>
        <sz val="9.3000000000000007"/>
        <color theme="3" tint="-0.249977111117893"/>
        <rFont val="Arial"/>
        <family val="2"/>
        <charset val="238"/>
      </rPr>
      <t>-0.411</t>
    </r>
    <r>
      <rPr>
        <sz val="11"/>
        <color theme="3" tint="-0.249977111117893"/>
        <rFont val="Arial"/>
        <family val="2"/>
        <charset val="238"/>
      </rPr>
      <t xml:space="preserve"> × (0.993)</t>
    </r>
    <r>
      <rPr>
        <vertAlign val="superscript"/>
        <sz val="9.3000000000000007"/>
        <color theme="3" tint="-0.249977111117893"/>
        <rFont val="Arial"/>
        <family val="2"/>
        <charset val="238"/>
      </rPr>
      <t xml:space="preserve">Věk </t>
    </r>
    <r>
      <rPr>
        <sz val="9.3000000000000007"/>
        <color theme="3" tint="-0.249977111117893"/>
        <rFont val="Arial"/>
        <family val="2"/>
        <charset val="238"/>
      </rPr>
      <t>× 0,0167</t>
    </r>
  </si>
  <si>
    <r>
      <t>GFR = 141 × (Scr/80)</t>
    </r>
    <r>
      <rPr>
        <vertAlign val="superscript"/>
        <sz val="9.3000000000000007"/>
        <color theme="3" tint="-0.249977111117893"/>
        <rFont val="Arial"/>
        <family val="2"/>
        <charset val="238"/>
      </rPr>
      <t>-1.209</t>
    </r>
    <r>
      <rPr>
        <sz val="11"/>
        <color theme="3" tint="-0.249977111117893"/>
        <rFont val="Arial"/>
        <family val="2"/>
        <charset val="238"/>
      </rPr>
      <t xml:space="preserve"> × (0.993)</t>
    </r>
    <r>
      <rPr>
        <vertAlign val="superscript"/>
        <sz val="9.3000000000000007"/>
        <color theme="3" tint="-0.249977111117893"/>
        <rFont val="Arial"/>
        <family val="2"/>
        <charset val="238"/>
      </rPr>
      <t xml:space="preserve">Věk </t>
    </r>
    <r>
      <rPr>
        <sz val="9.3000000000000007"/>
        <color theme="3" tint="-0.249977111117893"/>
        <rFont val="Arial"/>
        <family val="2"/>
        <charset val="238"/>
      </rPr>
      <t>× 0,0167</t>
    </r>
  </si>
  <si>
    <r>
      <t>Výpočet: GFRC (ml/s/1,73m²) = 1,3633 x (Cystatin C v séru (mg/l))</t>
    </r>
    <r>
      <rPr>
        <sz val="8"/>
        <color theme="3" tint="-0.249977111117893"/>
        <rFont val="Arial"/>
        <family val="2"/>
        <charset val="238"/>
      </rPr>
      <t>¯</t>
    </r>
    <r>
      <rPr>
        <sz val="12"/>
        <color theme="3" tint="-0.249977111117893"/>
        <rFont val="Arial"/>
        <family val="2"/>
        <charset val="238"/>
      </rPr>
      <t>¹</t>
    </r>
    <r>
      <rPr>
        <sz val="8"/>
        <color theme="3" tint="-0.249977111117893"/>
        <rFont val="Arial"/>
        <family val="2"/>
        <charset val="238"/>
      </rPr>
      <t>’</t>
    </r>
    <r>
      <rPr>
        <sz val="12"/>
        <color theme="3" tint="-0.249977111117893"/>
        <rFont val="Arial"/>
        <family val="2"/>
        <charset val="238"/>
      </rPr>
      <t>²</t>
    </r>
    <r>
      <rPr>
        <sz val="12"/>
        <color theme="3" tint="-0.249977111117893"/>
        <rFont val="Calibri"/>
        <family val="2"/>
        <charset val="238"/>
      </rPr>
      <t>⁸</t>
    </r>
  </si>
  <si>
    <t>Albumin v ranní moči (mg/l)</t>
  </si>
  <si>
    <t>Výpočet: upkr (g/mol) = U-Bílkovina (g/l) / (U-Kreatinin (mmol/l) * 1000)</t>
  </si>
  <si>
    <t>Výpočet odhadu % rizika ovariálního karcinomu</t>
  </si>
  <si>
    <t>Výpočet: albd (mg/24h) = (U-Albumin (mg/l) × V moči (l) × 24) / doba sběru (h)</t>
  </si>
  <si>
    <t>Výpočet: albm (µg/min) = (U-Albumin (mg/l) × V moči (l) × 1000) / doba sběru (min)</t>
  </si>
  <si>
    <t>Výpočet ELF score (závažnost fibrózy jater)</t>
  </si>
  <si>
    <t>Výpočet: ELF score=  2,494 + 0,846 x ln(s-HA (ug/L)) + 0,735 x ln(s-cPIIINP (ug/L)) + 0,391 x ln(s-cTIMP-1(ug/L))</t>
  </si>
  <si>
    <t>koncentrace HA (ug/L)</t>
  </si>
  <si>
    <t>koncentrace PIIINP (ug/L)</t>
  </si>
  <si>
    <t>koncentrace TIMP-1 (ug/L)</t>
  </si>
  <si>
    <t>ELF score</t>
  </si>
  <si>
    <t>HE4 (pmol/l)</t>
  </si>
  <si>
    <t>CA125 (kU/L)</t>
  </si>
  <si>
    <t>ROMA score (%)</t>
  </si>
  <si>
    <t>PI</t>
  </si>
  <si>
    <r>
      <rPr>
        <b/>
        <sz val="14"/>
        <color rgb="FFC00000"/>
        <rFont val="Arial"/>
        <family val="2"/>
        <charset val="238"/>
      </rPr>
      <t>před menopauzo</t>
    </r>
    <r>
      <rPr>
        <b/>
        <sz val="12"/>
        <color rgb="FFC00000"/>
        <rFont val="Arial"/>
        <family val="2"/>
        <charset val="238"/>
      </rPr>
      <t>u</t>
    </r>
    <r>
      <rPr>
        <sz val="12"/>
        <color rgb="FFC00000"/>
        <rFont val="Arial"/>
        <family val="2"/>
        <charset val="238"/>
      </rPr>
      <t>: ROMA (%) = exp (PI)/</t>
    </r>
    <r>
      <rPr>
        <sz val="12"/>
        <color rgb="FFC00000"/>
        <rFont val="Calibri"/>
        <family val="2"/>
        <charset val="238"/>
      </rPr>
      <t>[</t>
    </r>
    <r>
      <rPr>
        <sz val="12"/>
        <color rgb="FFC00000"/>
        <rFont val="Arial"/>
        <family val="2"/>
        <charset val="238"/>
      </rPr>
      <t>1+ exp(PI)] *100                  (PI = -12+2,38*ln (HE4)+0,0626*ln(CA125)</t>
    </r>
  </si>
  <si>
    <t>Výpočet: non-HDL (mmol/l) = Chol (mmol/l) - HDL (mmol/l)</t>
  </si>
  <si>
    <t>non-HDL (mmol/l)</t>
  </si>
  <si>
    <t>Tento výpočet platí pouze při stanovení HE4 a CA125 na soupravách Roche!</t>
  </si>
  <si>
    <r>
      <rPr>
        <b/>
        <sz val="14"/>
        <color rgb="FFC00000"/>
        <rFont val="Arial"/>
        <family val="2"/>
        <charset val="238"/>
      </rPr>
      <t>po menopauze</t>
    </r>
    <r>
      <rPr>
        <sz val="12"/>
        <color rgb="FFC00000"/>
        <rFont val="Arial"/>
        <family val="2"/>
        <charset val="238"/>
      </rPr>
      <t>:ROMA (%) = exp (PI)/1+ exp(PI) *100                            (PI = -8,09+1,04*ln (HE4)+0,732*ln(CA125)</t>
    </r>
  </si>
  <si>
    <t>Výpočet volného hemoglobinu v plazmě</t>
  </si>
  <si>
    <t>Výpočet: fHb (mg/l) = 11,06* HI-26,7</t>
  </si>
  <si>
    <t>Hemolytický index (Cobas)</t>
  </si>
  <si>
    <t>Volný hemoglobin (mg/l)</t>
  </si>
  <si>
    <t>pozn. - LIS neprovede výpočet, pokud je hodnota kreatininu v séru (plazmě) = 40 μmol/l a méně. Na výsledkovém listu se vydává se: nelze hodnotit.</t>
  </si>
  <si>
    <t>z</t>
  </si>
  <si>
    <t>Metoda v LIS: GFNK - 131</t>
  </si>
  <si>
    <t>Metoda v LIS: GFKO - 132</t>
  </si>
  <si>
    <t>Metoda v LIS: ReSH - 133</t>
  </si>
  <si>
    <t>Metoda v LIS: EPI - 169</t>
  </si>
  <si>
    <t>Metoda v LIS: MDR1 - 135</t>
  </si>
  <si>
    <t>Metoda v LIS: GFRC - 139</t>
  </si>
  <si>
    <t>Metoda v LIS: Dfil 266</t>
  </si>
  <si>
    <t>Metoda v LIS: albd - Odpad albuminu v moči za 24h - 123</t>
  </si>
  <si>
    <t>Metoda v LIS: albm - Odpad albuminu v moči za minutu - 122</t>
  </si>
  <si>
    <t>Metoda v LIS: upkr - bílkovina v ranní moči / kreatinin – 167</t>
  </si>
  <si>
    <t>Metoda v LIS: U-TP - Odpad bílkoviny v moči - 119</t>
  </si>
  <si>
    <t>Metoda v LIS: sTRF - 43, 1043</t>
  </si>
  <si>
    <t xml:space="preserve">          Metoda v LIS: TIBC - 44, 1044</t>
  </si>
  <si>
    <t>Metoda v LIS: LDL - 39, 1039</t>
  </si>
  <si>
    <t>Metoda v LIS: ELF - 345</t>
  </si>
  <si>
    <t>Metoda v LIS: non-HDL - 42</t>
  </si>
  <si>
    <t>Metoda v LIS: sOsg, pOsg - 1295, 1296</t>
  </si>
  <si>
    <t>Metoda v LIS: fHb - 100</t>
  </si>
  <si>
    <t>Metoda v LIS: ROMA score - 321</t>
  </si>
  <si>
    <t>Metoda v LIS: albk - albumin v ranní moči / kreatinin – 125</t>
  </si>
  <si>
    <t xml:space="preserve">Metoda v LIS: UB2K - beta-2-mikroglobulin v ranní moči / kreatinin – 319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</si>
</sst>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1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6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8"/>
      <name val="Arial"/>
      <family val="2"/>
      <charset val="238"/>
    </font>
    <font>
      <sz val="16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3" tint="0.39997558519241921"/>
      <name val="Arial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</font>
    <font>
      <sz val="12"/>
      <color theme="3" tint="-0.249977111117893"/>
      <name val="Arial"/>
      <family val="2"/>
      <charset val="238"/>
    </font>
    <font>
      <sz val="8.4"/>
      <color theme="3" tint="-0.249977111117893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3" tint="-0.249977111117893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b/>
      <vertAlign val="subscript"/>
      <sz val="14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3" tint="-0.249977111117893"/>
      <name val="Calibri"/>
      <family val="2"/>
      <charset val="238"/>
      <scheme val="minor"/>
    </font>
    <font>
      <vertAlign val="superscript"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Arial"/>
      <family val="2"/>
      <charset val="238"/>
    </font>
    <font>
      <vertAlign val="superscript"/>
      <sz val="9.3000000000000007"/>
      <color theme="3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sz val="9.3000000000000007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rgb="FFC00000"/>
      <name val="Arial"/>
      <family val="2"/>
      <charset val="238"/>
    </font>
    <font>
      <sz val="12"/>
      <color rgb="FFC00000"/>
      <name val="Calibri"/>
      <family val="2"/>
      <charset val="238"/>
    </font>
    <font>
      <b/>
      <sz val="14"/>
      <color rgb="FFC00000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00"/>
        <bgColor indexed="26"/>
      </patternFill>
    </fill>
    <fill>
      <patternFill patternType="solid">
        <fgColor rgb="FF99CC00"/>
        <bgColor indexed="11"/>
      </patternFill>
    </fill>
    <fill>
      <patternFill patternType="solid">
        <fgColor rgb="FF99CC00"/>
        <bgColor indexed="64"/>
      </patternFill>
    </fill>
    <fill>
      <patternFill patternType="solid">
        <fgColor theme="3" tint="0.39997558519241921"/>
        <bgColor indexed="39"/>
      </patternFill>
    </fill>
    <fill>
      <patternFill patternType="solid">
        <fgColor theme="3" tint="0.79998168889431442"/>
        <b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Protection="0">
      <alignment horizont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3" borderId="2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3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11" borderId="2" xfId="0" applyFont="1" applyFill="1" applyBorder="1" applyAlignment="1">
      <alignment wrapText="1"/>
    </xf>
    <xf numFmtId="0" fontId="0" fillId="11" borderId="2" xfId="0" applyFill="1" applyBorder="1"/>
    <xf numFmtId="2" fontId="2" fillId="8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" fillId="0" borderId="0" xfId="0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17" fillId="0" borderId="0" xfId="0" applyFont="1"/>
    <xf numFmtId="0" fontId="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left"/>
    </xf>
    <xf numFmtId="0" fontId="21" fillId="0" borderId="0" xfId="0" applyFont="1"/>
    <xf numFmtId="0" fontId="23" fillId="0" borderId="0" xfId="0" applyFont="1"/>
    <xf numFmtId="0" fontId="21" fillId="0" borderId="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0" fillId="3" borderId="2" xfId="0" applyFill="1" applyBorder="1" applyProtection="1"/>
    <xf numFmtId="0" fontId="24" fillId="0" borderId="0" xfId="0" applyFont="1" applyAlignment="1">
      <alignment horizontal="left" vertical="center"/>
    </xf>
    <xf numFmtId="0" fontId="25" fillId="0" borderId="19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 wrapText="1"/>
    </xf>
    <xf numFmtId="0" fontId="26" fillId="6" borderId="3" xfId="0" applyFont="1" applyFill="1" applyBorder="1" applyAlignment="1">
      <alignment horizontal="left" vertical="top" wrapText="1"/>
    </xf>
    <xf numFmtId="0" fontId="1" fillId="9" borderId="3" xfId="0" applyFont="1" applyFill="1" applyBorder="1"/>
    <xf numFmtId="0" fontId="31" fillId="9" borderId="3" xfId="0" applyFont="1" applyFill="1" applyBorder="1" applyAlignment="1">
      <alignment horizontal="left" vertical="top" wrapText="1"/>
    </xf>
    <xf numFmtId="164" fontId="1" fillId="6" borderId="3" xfId="0" applyNumberFormat="1" applyFont="1" applyFill="1" applyBorder="1"/>
    <xf numFmtId="164" fontId="1" fillId="2" borderId="1" xfId="0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left" vertical="top" wrapText="1"/>
      <protection locked="0"/>
    </xf>
    <xf numFmtId="14" fontId="26" fillId="0" borderId="3" xfId="0" applyNumberFormat="1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7" fillId="0" borderId="0" xfId="0" applyFont="1" applyProtection="1"/>
    <xf numFmtId="0" fontId="0" fillId="0" borderId="0" xfId="0" applyProtection="1"/>
    <xf numFmtId="0" fontId="19" fillId="0" borderId="0" xfId="0" applyFont="1" applyBorder="1" applyProtection="1"/>
    <xf numFmtId="0" fontId="29" fillId="0" borderId="0" xfId="0" applyFont="1" applyBorder="1" applyAlignment="1" applyProtection="1">
      <alignment horizontal="left" vertical="top" wrapText="1"/>
    </xf>
    <xf numFmtId="0" fontId="29" fillId="0" borderId="0" xfId="0" applyFont="1" applyBorder="1" applyAlignment="1" applyProtection="1">
      <alignment horizontal="left" vertical="top"/>
    </xf>
    <xf numFmtId="165" fontId="1" fillId="0" borderId="0" xfId="0" applyNumberFormat="1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 applyProtection="1">
      <alignment horizontal="center" vertical="center"/>
      <protection locked="0"/>
    </xf>
    <xf numFmtId="2" fontId="2" fillId="8" borderId="23" xfId="0" applyNumberFormat="1" applyFont="1" applyFill="1" applyBorder="1" applyAlignment="1" applyProtection="1">
      <alignment horizontal="center" vertical="center"/>
    </xf>
    <xf numFmtId="0" fontId="2" fillId="7" borderId="2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2" fontId="0" fillId="13" borderId="3" xfId="0" applyNumberFormat="1" applyFill="1" applyBorder="1"/>
    <xf numFmtId="0" fontId="0" fillId="0" borderId="3" xfId="0" applyBorder="1" applyProtection="1"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9" borderId="3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2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" fillId="14" borderId="3" xfId="0" applyFont="1" applyFill="1" applyBorder="1" applyAlignment="1">
      <alignment horizontal="center" vertical="center" wrapText="1"/>
    </xf>
    <xf numFmtId="0" fontId="26" fillId="0" borderId="0" xfId="0" applyFont="1" applyBorder="1" applyAlignment="1" applyProtection="1">
      <alignment horizontal="left" vertical="top" wrapText="1"/>
      <protection locked="0"/>
    </xf>
    <xf numFmtId="14" fontId="26" fillId="0" borderId="0" xfId="0" applyNumberFormat="1" applyFont="1" applyBorder="1" applyAlignment="1" applyProtection="1">
      <alignment horizontal="left" vertical="top"/>
      <protection locked="0"/>
    </xf>
    <xf numFmtId="164" fontId="1" fillId="0" borderId="0" xfId="0" applyNumberFormat="1" applyFont="1" applyFill="1" applyBorder="1"/>
    <xf numFmtId="0" fontId="1" fillId="0" borderId="0" xfId="0" applyFont="1" applyFill="1" applyBorder="1"/>
    <xf numFmtId="0" fontId="40" fillId="0" borderId="0" xfId="0" applyFont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8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2" fillId="12" borderId="17" xfId="0" applyFont="1" applyFill="1" applyBorder="1" applyAlignment="1">
      <alignment horizontal="left"/>
    </xf>
    <xf numFmtId="0" fontId="22" fillId="12" borderId="18" xfId="0" applyFont="1" applyFill="1" applyBorder="1" applyAlignment="1">
      <alignment horizontal="left"/>
    </xf>
    <xf numFmtId="0" fontId="22" fillId="12" borderId="5" xfId="0" applyFont="1" applyFill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8" xfId="0" applyFont="1" applyBorder="1" applyAlignment="1">
      <alignment horizontal="left"/>
    </xf>
  </cellXfs>
  <cellStyles count="3">
    <cellStyle name="Hypertextový odkaz" xfId="2" builtinId="8"/>
    <cellStyle name="Nadpis" xfId="1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33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21</xdr:row>
      <xdr:rowOff>47625</xdr:rowOff>
    </xdr:from>
    <xdr:to>
      <xdr:col>3</xdr:col>
      <xdr:colOff>723900</xdr:colOff>
      <xdr:row>21</xdr:row>
      <xdr:rowOff>57150</xdr:rowOff>
    </xdr:to>
    <xdr:pic>
      <xdr:nvPicPr>
        <xdr:cNvPr id="3" name="Picture 1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95625" y="5972175"/>
          <a:ext cx="114300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askl.cz/vzdelavani/kalkulatory/GFR-cystC/GFR_cystC.htm" TargetMode="External"/><Relationship Id="rId1" Type="http://schemas.openxmlformats.org/officeDocument/2006/relationships/hyperlink" Target="http://www.ikem.cz/kalkulatory/plm/IKEM_GFR_MDRD/GFR_MDRD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L103"/>
  <sheetViews>
    <sheetView tabSelected="1" zoomScale="110" zoomScaleNormal="110" workbookViewId="0">
      <selection activeCell="B66" sqref="B66"/>
    </sheetView>
  </sheetViews>
  <sheetFormatPr defaultColWidth="14.42578125" defaultRowHeight="15" x14ac:dyDescent="0.2"/>
  <cols>
    <col min="1" max="1" width="5.42578125" style="1" customWidth="1"/>
    <col min="2" max="2" width="13.7109375" style="1" customWidth="1"/>
    <col min="3" max="3" width="17.42578125" style="1" customWidth="1"/>
    <col min="4" max="4" width="14.42578125" style="1"/>
    <col min="5" max="5" width="14.7109375" style="1" customWidth="1"/>
    <col min="6" max="6" width="16.28515625" style="1" customWidth="1"/>
    <col min="7" max="7" width="18.140625" style="1" customWidth="1"/>
    <col min="8" max="8" width="14.7109375" style="1" customWidth="1"/>
    <col min="9" max="16384" width="14.42578125" style="1"/>
  </cols>
  <sheetData>
    <row r="1" spans="1:10" ht="20.25" x14ac:dyDescent="0.25">
      <c r="A1" s="33" t="s">
        <v>156</v>
      </c>
      <c r="B1" s="43"/>
      <c r="C1" s="44"/>
      <c r="D1" s="42"/>
      <c r="E1" s="44"/>
    </row>
    <row r="2" spans="1:10" ht="27" customHeight="1" x14ac:dyDescent="0.2">
      <c r="B2" s="48" t="s">
        <v>56</v>
      </c>
      <c r="C2" s="44"/>
      <c r="D2" s="42"/>
      <c r="E2" s="44"/>
      <c r="F2" s="45"/>
    </row>
    <row r="3" spans="1:10" ht="24" customHeight="1" x14ac:dyDescent="0.2">
      <c r="B3" s="49" t="s">
        <v>58</v>
      </c>
      <c r="C3" s="44"/>
      <c r="D3" s="42"/>
      <c r="E3" s="44"/>
      <c r="F3" s="45"/>
    </row>
    <row r="4" spans="1:10" ht="20.25" x14ac:dyDescent="0.2">
      <c r="A4" s="33" t="s">
        <v>157</v>
      </c>
      <c r="C4" s="44"/>
      <c r="D4" s="44"/>
      <c r="E4" s="44"/>
    </row>
    <row r="5" spans="1:10" ht="26.25" customHeight="1" x14ac:dyDescent="0.25">
      <c r="B5" s="48" t="s">
        <v>55</v>
      </c>
      <c r="C5" s="43"/>
      <c r="D5" s="44"/>
      <c r="E5" s="44"/>
      <c r="F5" s="44"/>
      <c r="G5" s="45"/>
    </row>
    <row r="6" spans="1:10" ht="24.75" customHeight="1" x14ac:dyDescent="0.25">
      <c r="B6" s="49" t="s">
        <v>61</v>
      </c>
      <c r="C6" s="43"/>
      <c r="D6" s="44"/>
      <c r="E6" s="44"/>
      <c r="F6" s="44"/>
      <c r="G6" s="45"/>
    </row>
    <row r="7" spans="1:10" ht="20.25" x14ac:dyDescent="0.2">
      <c r="A7" s="33" t="s">
        <v>158</v>
      </c>
      <c r="C7" s="44"/>
      <c r="D7" s="44"/>
      <c r="E7" s="44"/>
    </row>
    <row r="8" spans="1:10" ht="25.5" customHeight="1" x14ac:dyDescent="0.25">
      <c r="B8" s="48" t="s">
        <v>60</v>
      </c>
      <c r="C8" s="43"/>
      <c r="D8" s="44"/>
      <c r="E8" s="44"/>
      <c r="F8" s="44"/>
    </row>
    <row r="9" spans="1:10" ht="24.75" customHeight="1" x14ac:dyDescent="0.25">
      <c r="B9" s="49" t="s">
        <v>59</v>
      </c>
      <c r="C9" s="43"/>
      <c r="D9" s="44"/>
      <c r="E9" s="44"/>
      <c r="F9" s="44"/>
    </row>
    <row r="10" spans="1:10" ht="45" x14ac:dyDescent="0.2">
      <c r="B10" s="3" t="s">
        <v>0</v>
      </c>
      <c r="C10" s="3" t="s">
        <v>1</v>
      </c>
      <c r="D10" s="3" t="s">
        <v>2</v>
      </c>
      <c r="E10" s="3" t="s">
        <v>3</v>
      </c>
      <c r="F10" s="53" t="s">
        <v>4</v>
      </c>
      <c r="G10" s="3" t="s">
        <v>5</v>
      </c>
      <c r="H10" s="3" t="s">
        <v>6</v>
      </c>
      <c r="I10" s="53" t="s">
        <v>7</v>
      </c>
      <c r="J10" s="53" t="s">
        <v>8</v>
      </c>
    </row>
    <row r="11" spans="1:10" x14ac:dyDescent="0.2">
      <c r="B11" s="4"/>
      <c r="C11" s="4"/>
      <c r="D11" s="5"/>
      <c r="E11" s="5"/>
      <c r="F11" s="54" t="str">
        <f>IF(E11="","",C11*D11/(E11*B11*3.6))</f>
        <v/>
      </c>
      <c r="G11" s="6"/>
      <c r="H11" s="4"/>
      <c r="I11" s="54" t="str">
        <f>IF(H11="","",F11*1.73/(G11^0.725*H11^0.425*0.007184))</f>
        <v/>
      </c>
      <c r="J11" s="54" t="str">
        <f>IF(C11="","",100-B11/(C11*10))</f>
        <v/>
      </c>
    </row>
    <row r="12" spans="1:10" s="52" customFormat="1" ht="24" customHeight="1" x14ac:dyDescent="0.2">
      <c r="A12" s="14"/>
      <c r="B12" s="14"/>
      <c r="C12" s="50"/>
      <c r="D12" s="50"/>
      <c r="E12" s="51"/>
      <c r="F12" s="13"/>
      <c r="G12" s="85"/>
      <c r="H12" s="51"/>
      <c r="I12" s="51"/>
    </row>
    <row r="13" spans="1:10" s="52" customFormat="1" ht="20.25" x14ac:dyDescent="0.2">
      <c r="A13" s="84" t="s">
        <v>159</v>
      </c>
      <c r="B13" s="85"/>
      <c r="C13" s="86"/>
      <c r="D13" s="86"/>
      <c r="E13" s="51"/>
      <c r="F13" s="87"/>
      <c r="G13" s="85"/>
      <c r="H13" s="51"/>
      <c r="I13" s="51"/>
    </row>
    <row r="14" spans="1:10" s="52" customFormat="1" ht="26.25" customHeight="1" x14ac:dyDescent="0.35">
      <c r="A14" s="88"/>
      <c r="B14" s="89" t="s">
        <v>120</v>
      </c>
      <c r="C14" s="90"/>
      <c r="D14" s="90"/>
      <c r="E14" s="90"/>
      <c r="F14" s="90"/>
      <c r="G14" s="85"/>
      <c r="H14" s="51"/>
      <c r="I14" s="51"/>
    </row>
    <row r="15" spans="1:10" s="52" customFormat="1" ht="17.25" x14ac:dyDescent="0.25">
      <c r="A15" s="88"/>
      <c r="B15" s="91" t="s">
        <v>109</v>
      </c>
      <c r="C15" s="91" t="s">
        <v>110</v>
      </c>
      <c r="D15" s="91" t="s">
        <v>121</v>
      </c>
      <c r="E15" s="91"/>
      <c r="F15" s="91"/>
      <c r="G15" s="85"/>
      <c r="H15" s="51"/>
      <c r="I15" s="51"/>
    </row>
    <row r="16" spans="1:10" s="52" customFormat="1" ht="15.75" x14ac:dyDescent="0.2">
      <c r="A16" s="88"/>
      <c r="B16" s="91" t="s">
        <v>111</v>
      </c>
      <c r="C16" s="92" t="s">
        <v>112</v>
      </c>
      <c r="D16" s="93" t="s">
        <v>125</v>
      </c>
      <c r="E16" s="91"/>
      <c r="F16" s="91"/>
      <c r="G16" s="85"/>
      <c r="H16" s="51"/>
      <c r="I16" s="51"/>
    </row>
    <row r="17" spans="1:9" s="52" customFormat="1" ht="15.75" x14ac:dyDescent="0.2">
      <c r="A17" s="88"/>
      <c r="B17" s="91"/>
      <c r="C17" s="92" t="s">
        <v>113</v>
      </c>
      <c r="D17" s="93" t="s">
        <v>126</v>
      </c>
      <c r="E17" s="91"/>
      <c r="F17" s="91"/>
      <c r="G17" s="85"/>
      <c r="H17" s="51"/>
      <c r="I17" s="51"/>
    </row>
    <row r="18" spans="1:9" s="52" customFormat="1" ht="15.75" x14ac:dyDescent="0.2">
      <c r="A18" s="88"/>
      <c r="B18" s="91" t="s">
        <v>114</v>
      </c>
      <c r="C18" s="92" t="s">
        <v>115</v>
      </c>
      <c r="D18" s="93" t="s">
        <v>127</v>
      </c>
      <c r="E18" s="91"/>
      <c r="F18" s="91"/>
      <c r="G18" s="85"/>
      <c r="H18" s="51"/>
      <c r="I18" s="51"/>
    </row>
    <row r="19" spans="1:9" s="52" customFormat="1" ht="15.75" x14ac:dyDescent="0.2">
      <c r="A19" s="88"/>
      <c r="B19" s="91"/>
      <c r="C19" s="92" t="s">
        <v>116</v>
      </c>
      <c r="D19" s="93" t="s">
        <v>128</v>
      </c>
      <c r="E19" s="91"/>
      <c r="F19" s="91"/>
      <c r="G19" s="85"/>
      <c r="H19" s="51"/>
      <c r="I19" s="51"/>
    </row>
    <row r="20" spans="1:9" s="52" customFormat="1" ht="11.25" customHeight="1" thickBot="1" x14ac:dyDescent="0.25">
      <c r="A20" s="73"/>
      <c r="B20" s="74"/>
      <c r="C20" s="75"/>
      <c r="D20"/>
      <c r="E20"/>
      <c r="F20"/>
      <c r="G20" s="85"/>
      <c r="H20" s="51"/>
      <c r="I20" s="51"/>
    </row>
    <row r="21" spans="1:9" s="52" customFormat="1" ht="31.5" x14ac:dyDescent="0.2">
      <c r="B21" s="76" t="s">
        <v>117</v>
      </c>
      <c r="C21" s="76" t="s">
        <v>118</v>
      </c>
      <c r="D21" s="76" t="s">
        <v>10</v>
      </c>
      <c r="E21" s="77" t="s">
        <v>11</v>
      </c>
      <c r="F21" s="79" t="s">
        <v>119</v>
      </c>
      <c r="G21" s="85"/>
      <c r="H21" s="51"/>
      <c r="I21" s="51"/>
    </row>
    <row r="22" spans="1:9" s="52" customFormat="1" ht="15.75" x14ac:dyDescent="0.2">
      <c r="B22" s="82"/>
      <c r="C22" s="82"/>
      <c r="D22" s="83"/>
      <c r="E22" s="80" t="str">
        <f ca="1">IF(D22="","",YEARFRAC(D22,TODAY(),0))</f>
        <v/>
      </c>
      <c r="F22" s="78" t="str">
        <f>IF(B22="","",IF(B22="M",IF(C22&gt;80,141*(C22/80)^-1.209*(0.993)^E22*0.0167, 141*(C22/80)^-0.411*(0.993)^E22*0.0167),IF(C22&gt;62,144*(C22/62)^-1.209*(0.993)^E22*0.0167, 144*(C22/62)^-0.329*(0.993)^E22*0.0167)))</f>
        <v/>
      </c>
      <c r="G22" s="85"/>
      <c r="H22" s="51"/>
      <c r="I22" s="51"/>
    </row>
    <row r="23" spans="1:9" s="52" customFormat="1" ht="15.75" x14ac:dyDescent="0.2">
      <c r="B23" s="118" t="s">
        <v>154</v>
      </c>
      <c r="C23" s="114"/>
      <c r="D23" s="115"/>
      <c r="E23" s="116"/>
      <c r="F23" s="117"/>
      <c r="G23" s="85"/>
      <c r="H23" s="51"/>
      <c r="I23" s="51"/>
    </row>
    <row r="24" spans="1:9" ht="20.25" customHeight="1" x14ac:dyDescent="0.2">
      <c r="I24" s="7"/>
    </row>
    <row r="25" spans="1:9" ht="22.5" customHeight="1" x14ac:dyDescent="0.2">
      <c r="A25" s="33" t="s">
        <v>160</v>
      </c>
      <c r="E25" s="8" t="s">
        <v>9</v>
      </c>
    </row>
    <row r="26" spans="1:9" ht="25.5" customHeight="1" x14ac:dyDescent="0.2">
      <c r="B26" s="46" t="s">
        <v>124</v>
      </c>
    </row>
    <row r="27" spans="1:9" ht="24" customHeight="1" x14ac:dyDescent="0.2">
      <c r="B27" s="49" t="s">
        <v>62</v>
      </c>
      <c r="D27" s="45"/>
    </row>
    <row r="28" spans="1:9" ht="45" x14ac:dyDescent="0.2">
      <c r="B28" s="3" t="s">
        <v>10</v>
      </c>
      <c r="C28" s="3" t="s">
        <v>11</v>
      </c>
      <c r="D28" s="3" t="s">
        <v>12</v>
      </c>
      <c r="E28" s="9" t="s">
        <v>13</v>
      </c>
      <c r="F28" s="3" t="s">
        <v>0</v>
      </c>
      <c r="G28" s="53" t="s">
        <v>122</v>
      </c>
    </row>
    <row r="29" spans="1:9" ht="15.75" x14ac:dyDescent="0.2">
      <c r="B29" s="10"/>
      <c r="C29" s="81" t="str">
        <f ca="1">IF(B29="","",YEARFRAC(B29,TODAY(),0))</f>
        <v/>
      </c>
      <c r="D29" s="5" t="s">
        <v>155</v>
      </c>
      <c r="E29" s="38">
        <f>IF(D29="z",0.742,IF(D29="m",1,""))</f>
        <v>0.74199999999999999</v>
      </c>
      <c r="F29" s="4"/>
      <c r="G29" s="37" t="str">
        <f>IF(F29="","",2.917*(0.0113*F29)^-1.154*C29^-0.203*E29)</f>
        <v/>
      </c>
    </row>
    <row r="30" spans="1:9" ht="15.75" x14ac:dyDescent="0.2">
      <c r="B30" s="118" t="s">
        <v>154</v>
      </c>
      <c r="C30" s="85"/>
      <c r="D30" s="50"/>
      <c r="E30" s="94"/>
      <c r="F30" s="14"/>
      <c r="G30" s="51"/>
    </row>
    <row r="31" spans="1:9" ht="24.75" customHeight="1" x14ac:dyDescent="0.2"/>
    <row r="32" spans="1:9" ht="20.25" x14ac:dyDescent="0.2">
      <c r="A32" s="32" t="s">
        <v>161</v>
      </c>
      <c r="C32" s="11"/>
      <c r="E32" s="11" t="s">
        <v>9</v>
      </c>
    </row>
    <row r="33" spans="1:12" ht="21.75" customHeight="1" x14ac:dyDescent="0.2">
      <c r="B33" s="48" t="s">
        <v>51</v>
      </c>
      <c r="E33" s="11"/>
    </row>
    <row r="34" spans="1:12" ht="21.75" customHeight="1" x14ac:dyDescent="0.2">
      <c r="B34" s="58" t="s">
        <v>129</v>
      </c>
      <c r="C34" s="41"/>
      <c r="E34" s="11"/>
    </row>
    <row r="35" spans="1:12" ht="30" x14ac:dyDescent="0.2">
      <c r="B35" s="95" t="s">
        <v>14</v>
      </c>
      <c r="C35" s="98" t="s">
        <v>123</v>
      </c>
      <c r="D35" s="99"/>
      <c r="E35" s="86"/>
      <c r="F35" s="99"/>
      <c r="G35" s="86"/>
      <c r="H35" s="100"/>
    </row>
    <row r="36" spans="1:12" ht="15.75" x14ac:dyDescent="0.2">
      <c r="B36" s="96"/>
      <c r="C36" s="97" t="str">
        <f>IF(B36="","",IF(B36="???","???",1.3633*B36^-1.28))</f>
        <v/>
      </c>
      <c r="D36" s="87"/>
      <c r="E36" s="94"/>
      <c r="F36" s="86"/>
      <c r="G36" s="94"/>
      <c r="H36" s="51"/>
    </row>
    <row r="37" spans="1:12" ht="21.75" customHeight="1" x14ac:dyDescent="0.2"/>
    <row r="38" spans="1:12" s="2" customFormat="1" ht="20.25" x14ac:dyDescent="0.2">
      <c r="A38" s="33" t="s">
        <v>162</v>
      </c>
    </row>
    <row r="39" spans="1:12" ht="21" customHeight="1" x14ac:dyDescent="0.2">
      <c r="B39" s="48" t="s">
        <v>54</v>
      </c>
    </row>
    <row r="40" spans="1:12" ht="23.25" customHeight="1" x14ac:dyDescent="0.2">
      <c r="B40" s="49" t="s">
        <v>64</v>
      </c>
    </row>
    <row r="41" spans="1:12" ht="45" x14ac:dyDescent="0.2">
      <c r="B41" s="3" t="s">
        <v>0</v>
      </c>
      <c r="C41" s="3" t="s">
        <v>15</v>
      </c>
      <c r="D41" s="3" t="s">
        <v>16</v>
      </c>
      <c r="E41" s="3" t="s">
        <v>63</v>
      </c>
      <c r="F41" s="53" t="s">
        <v>17</v>
      </c>
      <c r="G41" s="12"/>
      <c r="H41" s="12"/>
      <c r="I41" s="12"/>
    </row>
    <row r="42" spans="1:12" ht="15.75" x14ac:dyDescent="0.2">
      <c r="B42" s="4"/>
      <c r="C42" s="4"/>
      <c r="D42" s="5"/>
      <c r="E42" s="5"/>
      <c r="F42" s="37" t="str">
        <f>IF(E42="","",C42*D42/(E42*B42*3600))</f>
        <v/>
      </c>
      <c r="G42" s="14"/>
      <c r="H42" s="15"/>
      <c r="I42" s="15"/>
    </row>
    <row r="43" spans="1:12" ht="25.5" customHeight="1" x14ac:dyDescent="0.2"/>
    <row r="44" spans="1:12" ht="24" customHeight="1" x14ac:dyDescent="0.2">
      <c r="A44" s="33" t="s">
        <v>71</v>
      </c>
    </row>
    <row r="45" spans="1:12" ht="24" customHeight="1" x14ac:dyDescent="0.25">
      <c r="B45" s="48" t="s">
        <v>57</v>
      </c>
      <c r="I45" s="47" t="s">
        <v>163</v>
      </c>
    </row>
    <row r="46" spans="1:12" ht="22.5" customHeight="1" x14ac:dyDescent="0.2">
      <c r="B46" s="49" t="s">
        <v>65</v>
      </c>
      <c r="I46" s="59" t="s">
        <v>133</v>
      </c>
    </row>
    <row r="47" spans="1:12" ht="60" x14ac:dyDescent="0.2">
      <c r="B47" s="26" t="s">
        <v>52</v>
      </c>
      <c r="C47" s="26" t="s">
        <v>2</v>
      </c>
      <c r="D47" s="26" t="s">
        <v>32</v>
      </c>
      <c r="E47" s="55" t="s">
        <v>33</v>
      </c>
      <c r="I47" s="26" t="s">
        <v>48</v>
      </c>
      <c r="J47" s="26" t="s">
        <v>2</v>
      </c>
      <c r="K47" s="26" t="s">
        <v>3</v>
      </c>
      <c r="L47" s="55" t="s">
        <v>53</v>
      </c>
    </row>
    <row r="48" spans="1:12" ht="15.75" x14ac:dyDescent="0.2">
      <c r="B48" s="39"/>
      <c r="C48" s="39"/>
      <c r="D48" s="39"/>
      <c r="E48" s="57" t="str">
        <f>IF(B48="","",B48*C48*24/(D48*1000))</f>
        <v/>
      </c>
      <c r="I48" s="40"/>
      <c r="J48" s="40"/>
      <c r="K48" s="40"/>
      <c r="L48" s="56" t="str">
        <f>IF(I48="","",I48*J48*24/(K48*1000))</f>
        <v/>
      </c>
    </row>
    <row r="50" spans="1:12" ht="21.75" customHeight="1" x14ac:dyDescent="0.25">
      <c r="B50" s="47" t="s">
        <v>166</v>
      </c>
      <c r="I50" s="47" t="s">
        <v>164</v>
      </c>
    </row>
    <row r="51" spans="1:12" ht="20.25" customHeight="1" x14ac:dyDescent="0.2">
      <c r="B51" s="49" t="s">
        <v>66</v>
      </c>
      <c r="C51" s="31"/>
      <c r="D51" s="31"/>
      <c r="E51" s="31"/>
      <c r="F51" s="31"/>
      <c r="I51" s="59" t="s">
        <v>134</v>
      </c>
    </row>
    <row r="52" spans="1:12" ht="45" x14ac:dyDescent="0.2">
      <c r="B52" s="26" t="s">
        <v>46</v>
      </c>
      <c r="C52" s="26" t="s">
        <v>2</v>
      </c>
      <c r="D52" s="26" t="s">
        <v>32</v>
      </c>
      <c r="E52" s="55" t="s">
        <v>45</v>
      </c>
      <c r="I52" s="26" t="s">
        <v>48</v>
      </c>
      <c r="J52" s="26" t="s">
        <v>2</v>
      </c>
      <c r="K52" s="26" t="s">
        <v>47</v>
      </c>
      <c r="L52" s="55" t="s">
        <v>49</v>
      </c>
    </row>
    <row r="53" spans="1:12" ht="15.75" x14ac:dyDescent="0.2">
      <c r="B53" s="40"/>
      <c r="C53" s="40"/>
      <c r="D53" s="40"/>
      <c r="E53" s="56" t="str">
        <f>IF(B53="","",B53*C53*24/(D53*1000))</f>
        <v/>
      </c>
      <c r="I53" s="40"/>
      <c r="J53" s="40"/>
      <c r="K53" s="40"/>
      <c r="L53" s="56" t="str">
        <f>IF(I53="","",I53*J53*1000/(K53*1000))</f>
        <v/>
      </c>
    </row>
    <row r="54" spans="1:12" ht="20.25" customHeight="1" x14ac:dyDescent="0.2"/>
    <row r="55" spans="1:12" ht="21.75" customHeight="1" x14ac:dyDescent="0.2">
      <c r="A55" s="33" t="s">
        <v>70</v>
      </c>
    </row>
    <row r="56" spans="1:12" ht="21.75" customHeight="1" x14ac:dyDescent="0.25">
      <c r="B56" s="47" t="s">
        <v>175</v>
      </c>
      <c r="I56" s="47" t="s">
        <v>165</v>
      </c>
    </row>
    <row r="57" spans="1:12" ht="21.75" customHeight="1" x14ac:dyDescent="0.2">
      <c r="B57" s="59" t="s">
        <v>72</v>
      </c>
      <c r="I57" s="59" t="s">
        <v>131</v>
      </c>
    </row>
    <row r="58" spans="1:12" ht="57" customHeight="1" x14ac:dyDescent="0.2">
      <c r="B58" s="26" t="s">
        <v>130</v>
      </c>
      <c r="C58" s="26" t="s">
        <v>74</v>
      </c>
      <c r="D58" s="55" t="s">
        <v>77</v>
      </c>
      <c r="I58" s="26" t="s">
        <v>75</v>
      </c>
      <c r="J58" s="26" t="s">
        <v>74</v>
      </c>
      <c r="K58" s="55" t="s">
        <v>76</v>
      </c>
    </row>
    <row r="59" spans="1:12" ht="21.75" customHeight="1" x14ac:dyDescent="0.2">
      <c r="B59" s="40"/>
      <c r="C59" s="40"/>
      <c r="D59" s="56" t="str">
        <f>IF(B59="","",B59/C59)</f>
        <v/>
      </c>
      <c r="I59" s="40"/>
      <c r="J59" s="40"/>
      <c r="K59" s="56" t="str">
        <f>IF(I59="","",I59/J59*1000)</f>
        <v/>
      </c>
    </row>
    <row r="60" spans="1:12" ht="21.75" customHeight="1" x14ac:dyDescent="0.25">
      <c r="B60" s="61" t="s">
        <v>73</v>
      </c>
      <c r="H60" s="47"/>
    </row>
    <row r="61" spans="1:12" ht="18.75" customHeight="1" x14ac:dyDescent="0.25">
      <c r="A61" s="61"/>
      <c r="H61" s="47"/>
    </row>
    <row r="62" spans="1:12" ht="21.75" customHeight="1" x14ac:dyDescent="0.25">
      <c r="B62" s="62" t="s">
        <v>176</v>
      </c>
      <c r="H62" s="47"/>
    </row>
    <row r="63" spans="1:12" ht="21.75" customHeight="1" x14ac:dyDescent="0.25">
      <c r="B63" s="59" t="s">
        <v>78</v>
      </c>
      <c r="H63" s="47"/>
    </row>
    <row r="64" spans="1:12" ht="58.5" customHeight="1" x14ac:dyDescent="0.25">
      <c r="B64" s="26" t="s">
        <v>79</v>
      </c>
      <c r="C64" s="26" t="s">
        <v>74</v>
      </c>
      <c r="D64" s="55" t="s">
        <v>80</v>
      </c>
      <c r="H64" s="47"/>
    </row>
    <row r="65" spans="1:11" ht="21.75" customHeight="1" x14ac:dyDescent="0.25">
      <c r="B65" s="40"/>
      <c r="C65" s="40"/>
      <c r="D65" s="56" t="str">
        <f>IF(B65="","",(B65/C65)*1000)</f>
        <v/>
      </c>
      <c r="H65" s="47"/>
    </row>
    <row r="66" spans="1:11" s="52" customFormat="1" ht="21.75" customHeight="1" x14ac:dyDescent="0.25">
      <c r="A66" s="50"/>
      <c r="B66" s="50"/>
      <c r="C66" s="63"/>
      <c r="H66" s="64"/>
    </row>
    <row r="67" spans="1:11" ht="27.75" customHeight="1" x14ac:dyDescent="0.2">
      <c r="A67" s="33" t="s">
        <v>167</v>
      </c>
      <c r="B67" s="25"/>
      <c r="C67" s="25"/>
      <c r="D67" s="34"/>
      <c r="E67" s="25"/>
      <c r="F67" s="25"/>
      <c r="G67" s="33" t="s">
        <v>168</v>
      </c>
      <c r="H67" s="25"/>
      <c r="I67" s="27"/>
    </row>
    <row r="68" spans="1:11" ht="21.75" customHeight="1" x14ac:dyDescent="0.35">
      <c r="B68" s="47" t="s">
        <v>50</v>
      </c>
      <c r="C68" s="29"/>
      <c r="D68" s="28"/>
      <c r="E68" s="30"/>
      <c r="F68" s="31"/>
      <c r="G68" s="31"/>
      <c r="H68" s="47" t="s">
        <v>37</v>
      </c>
      <c r="I68" s="31"/>
      <c r="J68" s="27"/>
    </row>
    <row r="69" spans="1:11" ht="21.75" customHeight="1" x14ac:dyDescent="0.35">
      <c r="B69" s="49" t="s">
        <v>67</v>
      </c>
      <c r="C69" s="29"/>
      <c r="D69" s="28"/>
      <c r="E69" s="30"/>
      <c r="F69" s="31"/>
      <c r="G69" s="31"/>
      <c r="H69" s="49" t="s">
        <v>68</v>
      </c>
      <c r="I69" s="31"/>
      <c r="J69" s="27"/>
    </row>
    <row r="70" spans="1:11" ht="93" customHeight="1" x14ac:dyDescent="0.2">
      <c r="B70" s="26" t="s">
        <v>34</v>
      </c>
      <c r="C70" s="26" t="s">
        <v>35</v>
      </c>
      <c r="D70" s="55" t="s">
        <v>36</v>
      </c>
      <c r="H70" s="26" t="s">
        <v>34</v>
      </c>
      <c r="I70" s="55" t="s">
        <v>38</v>
      </c>
      <c r="J70" s="24"/>
    </row>
    <row r="71" spans="1:11" ht="15.75" x14ac:dyDescent="0.2">
      <c r="B71" s="40"/>
      <c r="C71" s="40"/>
      <c r="D71" s="56" t="str">
        <f>IF(B71="","",C71*3.98/B71)</f>
        <v/>
      </c>
      <c r="H71" s="40"/>
      <c r="I71" s="56" t="str">
        <f>IF(H71="","",H71*25.2)</f>
        <v/>
      </c>
    </row>
    <row r="72" spans="1:11" ht="27.75" customHeight="1" x14ac:dyDescent="0.2"/>
    <row r="73" spans="1:11" ht="20.25" x14ac:dyDescent="0.2">
      <c r="A73" s="33" t="s">
        <v>169</v>
      </c>
      <c r="H73" s="33" t="s">
        <v>170</v>
      </c>
      <c r="I73" s="33"/>
      <c r="J73" s="33"/>
      <c r="K73" s="33"/>
    </row>
    <row r="74" spans="1:11" ht="21" customHeight="1" x14ac:dyDescent="0.2">
      <c r="B74" s="48" t="s">
        <v>39</v>
      </c>
      <c r="C74" s="27"/>
      <c r="H74" s="48" t="s">
        <v>135</v>
      </c>
      <c r="I74" s="48"/>
      <c r="J74" s="48"/>
      <c r="K74" s="48"/>
    </row>
    <row r="75" spans="1:11" ht="24" customHeight="1" x14ac:dyDescent="0.2">
      <c r="B75" s="49" t="s">
        <v>69</v>
      </c>
      <c r="C75" s="27"/>
      <c r="H75" s="49" t="s">
        <v>136</v>
      </c>
      <c r="I75" s="49"/>
      <c r="J75" s="49"/>
      <c r="K75" s="49"/>
    </row>
    <row r="76" spans="1:11" ht="47.25" x14ac:dyDescent="0.2">
      <c r="B76" s="26" t="s">
        <v>43</v>
      </c>
      <c r="C76" s="26" t="s">
        <v>42</v>
      </c>
      <c r="D76" s="26" t="s">
        <v>40</v>
      </c>
      <c r="E76" s="55" t="s">
        <v>41</v>
      </c>
      <c r="H76" s="26" t="s">
        <v>137</v>
      </c>
      <c r="I76" s="26" t="s">
        <v>138</v>
      </c>
      <c r="J76" s="26" t="s">
        <v>139</v>
      </c>
      <c r="K76" s="55" t="s">
        <v>140</v>
      </c>
    </row>
    <row r="77" spans="1:11" ht="20.25" customHeight="1" x14ac:dyDescent="0.2">
      <c r="B77" s="40"/>
      <c r="C77" s="40"/>
      <c r="D77" s="40"/>
      <c r="E77" s="56" t="str">
        <f>IF(B77="","",B77-C77-(D77/2.2))</f>
        <v/>
      </c>
      <c r="H77" s="102"/>
      <c r="I77" s="102"/>
      <c r="J77" s="102"/>
      <c r="K77" s="101" t="str">
        <f>IF(H77="","",2.494+0.846*LN(H77)+0.735*LN(I77)+0.391*LN(J77))</f>
        <v/>
      </c>
    </row>
    <row r="78" spans="1:11" ht="15.75" x14ac:dyDescent="0.2">
      <c r="B78" s="60" t="s">
        <v>44</v>
      </c>
    </row>
    <row r="81" spans="1:12" ht="20.25" x14ac:dyDescent="0.2">
      <c r="A81" s="33" t="s">
        <v>171</v>
      </c>
      <c r="J81" s="33"/>
    </row>
    <row r="82" spans="1:12" ht="18" x14ac:dyDescent="0.2">
      <c r="B82" s="2" t="s">
        <v>146</v>
      </c>
      <c r="J82" s="111"/>
    </row>
    <row r="83" spans="1:12" ht="50.25" customHeight="1" x14ac:dyDescent="0.2">
      <c r="B83" s="26" t="s">
        <v>43</v>
      </c>
      <c r="C83" s="26" t="s">
        <v>42</v>
      </c>
      <c r="D83" s="110" t="s">
        <v>147</v>
      </c>
    </row>
    <row r="84" spans="1:12" ht="20.25" x14ac:dyDescent="0.2">
      <c r="B84" s="40"/>
      <c r="C84" s="40"/>
      <c r="D84" s="104" t="str">
        <f>IF(B84="","",B84-C84)</f>
        <v/>
      </c>
      <c r="K84" s="33" t="s">
        <v>173</v>
      </c>
    </row>
    <row r="85" spans="1:12" ht="18" x14ac:dyDescent="0.2">
      <c r="K85" s="111" t="s">
        <v>150</v>
      </c>
    </row>
    <row r="86" spans="1:12" ht="20.25" x14ac:dyDescent="0.2">
      <c r="A86" s="33" t="s">
        <v>172</v>
      </c>
      <c r="K86" s="112" t="s">
        <v>151</v>
      </c>
    </row>
    <row r="87" spans="1:12" ht="47.25" x14ac:dyDescent="0.2">
      <c r="B87" s="48" t="s">
        <v>104</v>
      </c>
      <c r="C87" s="27"/>
      <c r="K87" s="113" t="s">
        <v>152</v>
      </c>
      <c r="L87" s="55" t="s">
        <v>153</v>
      </c>
    </row>
    <row r="88" spans="1:12" ht="15.75" x14ac:dyDescent="0.2">
      <c r="B88" s="49" t="s">
        <v>105</v>
      </c>
      <c r="C88" s="27"/>
      <c r="K88" s="40"/>
      <c r="L88" s="104" t="str">
        <f>IF(K88="","",11.06*K88-26.7)</f>
        <v/>
      </c>
    </row>
    <row r="89" spans="1:12" ht="47.25" x14ac:dyDescent="0.2">
      <c r="B89" s="26" t="s">
        <v>106</v>
      </c>
      <c r="C89" s="26" t="s">
        <v>101</v>
      </c>
      <c r="D89" s="26" t="s">
        <v>102</v>
      </c>
      <c r="E89" s="26" t="s">
        <v>103</v>
      </c>
      <c r="F89" s="55" t="s">
        <v>107</v>
      </c>
    </row>
    <row r="90" spans="1:12" ht="15.75" x14ac:dyDescent="0.2">
      <c r="B90" s="40"/>
      <c r="C90" s="40"/>
      <c r="D90" s="40"/>
      <c r="E90" s="40"/>
      <c r="F90" s="56" t="str">
        <f>IF(B90="","",IF(C90="","",IF(D90="","",B90-(2*E90+C90+D90))))</f>
        <v/>
      </c>
    </row>
    <row r="91" spans="1:12" ht="15.75" x14ac:dyDescent="0.2">
      <c r="B91" s="72" t="s">
        <v>108</v>
      </c>
    </row>
    <row r="93" spans="1:12" ht="20.25" x14ac:dyDescent="0.2">
      <c r="A93" s="33" t="s">
        <v>174</v>
      </c>
    </row>
    <row r="94" spans="1:12" ht="18" x14ac:dyDescent="0.2">
      <c r="B94" s="48" t="s">
        <v>132</v>
      </c>
      <c r="C94" s="27"/>
    </row>
    <row r="95" spans="1:12" ht="18" x14ac:dyDescent="0.2">
      <c r="A95" s="2"/>
      <c r="B95" s="105" t="s">
        <v>145</v>
      </c>
      <c r="C95" s="2"/>
    </row>
    <row r="96" spans="1:12" ht="51.75" customHeight="1" x14ac:dyDescent="0.2">
      <c r="B96" s="107" t="s">
        <v>141</v>
      </c>
      <c r="C96" s="106" t="s">
        <v>142</v>
      </c>
      <c r="D96" s="26" t="s">
        <v>144</v>
      </c>
      <c r="E96" s="55" t="s">
        <v>143</v>
      </c>
    </row>
    <row r="97" spans="2:5" x14ac:dyDescent="0.2">
      <c r="B97" s="103"/>
      <c r="C97" s="40"/>
      <c r="D97" s="109" t="str">
        <f>IF(B97="","",((-12+2.38*LN(B97))+0.0626*LN(C97)))</f>
        <v/>
      </c>
      <c r="E97" s="108" t="str">
        <f>IF(B97="","",(EXP(D97)/(1+EXP(D97)))*100)</f>
        <v/>
      </c>
    </row>
    <row r="99" spans="2:5" ht="18" x14ac:dyDescent="0.2">
      <c r="B99" s="105" t="s">
        <v>149</v>
      </c>
    </row>
    <row r="100" spans="2:5" ht="30.75" customHeight="1" x14ac:dyDescent="0.2">
      <c r="B100" s="106" t="s">
        <v>141</v>
      </c>
      <c r="C100" s="106" t="s">
        <v>142</v>
      </c>
      <c r="D100" s="106" t="s">
        <v>144</v>
      </c>
      <c r="E100" s="55" t="s">
        <v>143</v>
      </c>
    </row>
    <row r="101" spans="2:5" x14ac:dyDescent="0.2">
      <c r="B101" s="40"/>
      <c r="C101" s="40"/>
      <c r="D101" s="109" t="str">
        <f>IF(B101="","",((-8.09+1.04*LN(B101)+0.732*LN(C101))))</f>
        <v/>
      </c>
      <c r="E101" s="104" t="str">
        <f>IF(B101="","",(EXP(D101)/(1+EXP(D101)))*100)</f>
        <v/>
      </c>
    </row>
    <row r="103" spans="2:5" ht="15.75" x14ac:dyDescent="0.2">
      <c r="B103" s="72" t="s">
        <v>148</v>
      </c>
    </row>
  </sheetData>
  <sheetProtection selectLockedCells="1"/>
  <hyperlinks>
    <hyperlink ref="E25" r:id="rId1" xr:uid="{00000000-0004-0000-0000-000000000000}"/>
    <hyperlink ref="E32" r:id="rId2" xr:uid="{00000000-0004-0000-0000-000001000000}"/>
  </hyperlinks>
  <pageMargins left="0.78749999999999998" right="0.78749999999999998" top="1.0249999999999999" bottom="1.0249999999999999" header="0.78749999999999998" footer="0.78749999999999998"/>
  <pageSetup paperSize="9" scale="99" orientation="portrait" useFirstPageNumber="1" horizontalDpi="300" verticalDpi="300" r:id="rId3"/>
  <headerFooter alignWithMargins="0">
    <oddHeader>&amp;C&amp;A</oddHeader>
    <oddFooter>&amp;CStránka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K18"/>
  <sheetViews>
    <sheetView zoomScale="93" zoomScaleNormal="93" workbookViewId="0">
      <selection activeCell="F3" sqref="F3"/>
    </sheetView>
  </sheetViews>
  <sheetFormatPr defaultColWidth="11.5703125" defaultRowHeight="12.75" x14ac:dyDescent="0.2"/>
  <cols>
    <col min="1" max="1" width="22.28515625" customWidth="1"/>
    <col min="2" max="2" width="14.85546875" customWidth="1"/>
    <col min="3" max="3" width="15.5703125" customWidth="1"/>
    <col min="4" max="4" width="13.85546875" customWidth="1"/>
  </cols>
  <sheetData>
    <row r="1" spans="1:11" s="16" customFormat="1" ht="18" x14ac:dyDescent="0.25">
      <c r="A1" s="119" t="s">
        <v>18</v>
      </c>
      <c r="B1" s="119"/>
      <c r="C1" s="119"/>
      <c r="D1" s="119"/>
      <c r="E1" s="120" t="s">
        <v>19</v>
      </c>
      <c r="F1" s="120"/>
      <c r="G1" s="120"/>
      <c r="H1" s="121" t="s">
        <v>20</v>
      </c>
      <c r="I1" s="121"/>
      <c r="J1" s="121"/>
      <c r="K1" s="121"/>
    </row>
    <row r="2" spans="1:11" s="20" customFormat="1" ht="25.5" x14ac:dyDescent="0.2">
      <c r="A2" s="17" t="s">
        <v>21</v>
      </c>
      <c r="B2" s="17" t="s">
        <v>22</v>
      </c>
      <c r="C2" s="17" t="s">
        <v>23</v>
      </c>
      <c r="D2" s="17" t="s">
        <v>24</v>
      </c>
      <c r="E2" s="18" t="s">
        <v>25</v>
      </c>
      <c r="F2" s="18" t="s">
        <v>26</v>
      </c>
      <c r="G2" s="18" t="s">
        <v>27</v>
      </c>
      <c r="H2" s="35" t="s">
        <v>28</v>
      </c>
      <c r="I2" s="35" t="s">
        <v>29</v>
      </c>
      <c r="J2" s="35" t="s">
        <v>30</v>
      </c>
      <c r="K2" s="19" t="s">
        <v>31</v>
      </c>
    </row>
    <row r="3" spans="1:11" x14ac:dyDescent="0.2">
      <c r="A3" s="21"/>
      <c r="B3" s="21"/>
      <c r="C3" s="21"/>
      <c r="D3" s="71">
        <v>3.7</v>
      </c>
      <c r="E3" s="22"/>
      <c r="F3" s="22"/>
      <c r="G3" s="22"/>
      <c r="H3" s="36" t="str">
        <f>IF(D3="","",IF(G3="","",IF(G3&gt;2/3*D3,"E","T")))</f>
        <v/>
      </c>
      <c r="I3" s="36" t="str">
        <f>IF(A3="","",IF(E3="","",IF(E3/A3&gt;0.5,"E","T")))</f>
        <v/>
      </c>
      <c r="J3" s="36" t="str">
        <f>IF(C3="","",IF(G3="","",IF(G3/C3&gt;0.6,"E","T")))</f>
        <v/>
      </c>
      <c r="K3" s="23" t="str">
        <f>IF(B3="","",IF(F3="","",IF(B3-F3&gt;12,"T","E")))</f>
        <v/>
      </c>
    </row>
    <row r="6" spans="1:11" ht="18" x14ac:dyDescent="0.25">
      <c r="A6" s="16" t="s">
        <v>81</v>
      </c>
    </row>
    <row r="7" spans="1:11" ht="15.75" thickBot="1" x14ac:dyDescent="0.25">
      <c r="A7" s="41"/>
    </row>
    <row r="8" spans="1:11" ht="16.5" thickBot="1" x14ac:dyDescent="0.3">
      <c r="A8" s="130" t="s">
        <v>98</v>
      </c>
      <c r="B8" s="131"/>
      <c r="C8" s="132"/>
      <c r="D8" s="70" t="s">
        <v>82</v>
      </c>
      <c r="E8" s="70" t="s">
        <v>83</v>
      </c>
    </row>
    <row r="9" spans="1:11" ht="19.5" customHeight="1" x14ac:dyDescent="0.2">
      <c r="A9" s="133" t="s">
        <v>84</v>
      </c>
      <c r="B9" s="134"/>
      <c r="C9" s="135"/>
      <c r="D9" s="69" t="s">
        <v>85</v>
      </c>
      <c r="E9" s="69" t="s">
        <v>86</v>
      </c>
    </row>
    <row r="10" spans="1:11" ht="15" x14ac:dyDescent="0.2">
      <c r="A10" s="136" t="s">
        <v>87</v>
      </c>
      <c r="B10" s="125"/>
      <c r="C10" s="126"/>
      <c r="D10" s="68" t="s">
        <v>88</v>
      </c>
      <c r="E10" s="68" t="s">
        <v>89</v>
      </c>
    </row>
    <row r="11" spans="1:11" ht="15" x14ac:dyDescent="0.2">
      <c r="A11" s="136" t="s">
        <v>90</v>
      </c>
      <c r="B11" s="125"/>
      <c r="C11" s="126"/>
      <c r="D11" s="68" t="s">
        <v>99</v>
      </c>
      <c r="E11" s="68" t="s">
        <v>100</v>
      </c>
    </row>
    <row r="12" spans="1:11" ht="15" customHeight="1" x14ac:dyDescent="0.2">
      <c r="A12" s="124" t="s">
        <v>97</v>
      </c>
      <c r="B12" s="125"/>
      <c r="C12" s="126"/>
      <c r="D12" s="122" t="s">
        <v>91</v>
      </c>
      <c r="E12" s="122" t="s">
        <v>92</v>
      </c>
    </row>
    <row r="13" spans="1:11" ht="15" customHeight="1" thickBot="1" x14ac:dyDescent="0.25">
      <c r="A13" s="127"/>
      <c r="B13" s="128"/>
      <c r="C13" s="129"/>
      <c r="D13" s="123"/>
      <c r="E13" s="123"/>
    </row>
    <row r="14" spans="1:11" ht="14.25" x14ac:dyDescent="0.2">
      <c r="A14" s="66"/>
    </row>
    <row r="15" spans="1:11" ht="15" x14ac:dyDescent="0.2">
      <c r="A15" s="65" t="s">
        <v>93</v>
      </c>
    </row>
    <row r="16" spans="1:11" ht="15.75" x14ac:dyDescent="0.25">
      <c r="A16" s="65" t="s">
        <v>94</v>
      </c>
    </row>
    <row r="17" spans="1:9" ht="15.75" x14ac:dyDescent="0.25">
      <c r="A17" s="65" t="s">
        <v>95</v>
      </c>
      <c r="I17" s="67"/>
    </row>
    <row r="18" spans="1:9" ht="15.75" x14ac:dyDescent="0.25">
      <c r="A18" s="65" t="s">
        <v>96</v>
      </c>
    </row>
  </sheetData>
  <sheetProtection sheet="1" objects="1" scenarios="1" selectLockedCells="1"/>
  <mergeCells count="10">
    <mergeCell ref="A1:D1"/>
    <mergeCell ref="E1:G1"/>
    <mergeCell ref="H1:K1"/>
    <mergeCell ref="D12:D13"/>
    <mergeCell ref="A12:C13"/>
    <mergeCell ref="E12:E13"/>
    <mergeCell ref="A8:C8"/>
    <mergeCell ref="A9:C9"/>
    <mergeCell ref="A10:C10"/>
    <mergeCell ref="A11:C11"/>
  </mergeCells>
  <pageMargins left="0.78749999999999998" right="0.78749999999999998" top="1.0249999999999999" bottom="1.0249999999999999" header="0.78749999999999998" footer="0.78749999999999998"/>
  <pageSetup paperSize="9" scale="99" orientation="portrait" horizontalDpi="300" verticalDpi="300" r:id="rId1"/>
  <headerFooter alignWithMargins="0"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Výpočty biochemie</vt:lpstr>
      <vt:lpstr>Transsudát-exsudát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MUDr. Peter Sečník</dc:creator>
  <cp:lastModifiedBy>Mgr. Tereza Vacková</cp:lastModifiedBy>
  <dcterms:created xsi:type="dcterms:W3CDTF">2012-10-01T07:49:39Z</dcterms:created>
  <dcterms:modified xsi:type="dcterms:W3CDTF">2022-05-27T06:38:46Z</dcterms:modified>
</cp:coreProperties>
</file>